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L:\Contabilidade\2023\FUSSBE-INSUFICIÊNCIA\ADIANTAMENTO PAGTO\"/>
    </mc:Choice>
  </mc:AlternateContent>
  <xr:revisionPtr revIDLastSave="0" documentId="13_ncr:1_{FEA56A3F-493E-474B-A4D3-804CED5E10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VISÃO" sheetId="1" r:id="rId1"/>
    <sheet name="ATUALIZAÇ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9" i="2"/>
  <c r="E10" i="2"/>
  <c r="E11" i="2"/>
  <c r="E12" i="2"/>
  <c r="E13" i="2"/>
  <c r="E14" i="2"/>
  <c r="E15" i="2"/>
  <c r="E16" i="2"/>
  <c r="E8" i="2"/>
  <c r="Q15" i="2"/>
  <c r="R15" i="2" s="1"/>
  <c r="Q16" i="2"/>
  <c r="R16" i="2" s="1"/>
  <c r="B17" i="2"/>
  <c r="J16" i="1"/>
  <c r="I16" i="1"/>
  <c r="H16" i="1"/>
  <c r="G16" i="1"/>
  <c r="F16" i="1"/>
  <c r="E16" i="1"/>
  <c r="D16" i="1"/>
  <c r="C16" i="1"/>
  <c r="Q3" i="2"/>
  <c r="F3" i="2" s="1"/>
  <c r="Q4" i="2"/>
  <c r="F4" i="2" s="1"/>
  <c r="Q5" i="2"/>
  <c r="F5" i="2" s="1"/>
  <c r="Q6" i="2"/>
  <c r="R6" i="2" s="1"/>
  <c r="Q7" i="2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2" i="2"/>
  <c r="F2" i="2" s="1"/>
  <c r="G5" i="2" l="1"/>
  <c r="G4" i="2"/>
  <c r="G2" i="2"/>
  <c r="G3" i="2"/>
  <c r="H3" i="2" s="1"/>
  <c r="J3" i="2" s="1"/>
  <c r="F10" i="2"/>
  <c r="G10" i="2" s="1"/>
  <c r="H10" i="2" s="1"/>
  <c r="J10" i="2" s="1"/>
  <c r="F9" i="2"/>
  <c r="G9" i="2" s="1"/>
  <c r="H9" i="2" s="1"/>
  <c r="J9" i="2" s="1"/>
  <c r="H5" i="2"/>
  <c r="J5" i="2" s="1"/>
  <c r="F8" i="2"/>
  <c r="G8" i="2" s="1"/>
  <c r="H8" i="2" s="1"/>
  <c r="J8" i="2" s="1"/>
  <c r="H4" i="2"/>
  <c r="J4" i="2" s="1"/>
  <c r="F7" i="2"/>
  <c r="G7" i="2" s="1"/>
  <c r="H7" i="2" s="1"/>
  <c r="J7" i="2" s="1"/>
  <c r="F6" i="2"/>
  <c r="G6" i="2" s="1"/>
  <c r="H6" i="2" s="1"/>
  <c r="J6" i="2" s="1"/>
  <c r="F16" i="2"/>
  <c r="G16" i="2" s="1"/>
  <c r="H16" i="2" s="1"/>
  <c r="J16" i="2" s="1"/>
  <c r="F15" i="2"/>
  <c r="G15" i="2" s="1"/>
  <c r="H15" i="2" s="1"/>
  <c r="J15" i="2" s="1"/>
  <c r="F14" i="2"/>
  <c r="G14" i="2" s="1"/>
  <c r="H14" i="2" s="1"/>
  <c r="J14" i="2" s="1"/>
  <c r="F13" i="2"/>
  <c r="G13" i="2" s="1"/>
  <c r="H13" i="2" s="1"/>
  <c r="J13" i="2" s="1"/>
  <c r="F12" i="2"/>
  <c r="G12" i="2" s="1"/>
  <c r="H12" i="2" s="1"/>
  <c r="J12" i="2" s="1"/>
  <c r="F11" i="2"/>
  <c r="G11" i="2" s="1"/>
  <c r="H11" i="2" s="1"/>
  <c r="J11" i="2" s="1"/>
  <c r="J11" i="1"/>
  <c r="I11" i="1"/>
  <c r="H11" i="1"/>
  <c r="H23" i="1" s="1"/>
  <c r="G11" i="1"/>
  <c r="F11" i="1"/>
  <c r="E11" i="1"/>
  <c r="D11" i="1"/>
  <c r="C11" i="1"/>
  <c r="B16" i="1"/>
  <c r="W23" i="1"/>
  <c r="V23" i="1"/>
  <c r="U23" i="1"/>
  <c r="T23" i="1"/>
  <c r="S23" i="1"/>
  <c r="R23" i="1"/>
  <c r="Q23" i="1"/>
  <c r="P23" i="1"/>
  <c r="O23" i="1"/>
  <c r="X22" i="1"/>
  <c r="L23" i="1"/>
  <c r="N22" i="1"/>
  <c r="C23" i="1"/>
  <c r="J22" i="1"/>
  <c r="J23" i="1" s="1"/>
  <c r="I22" i="1"/>
  <c r="H22" i="1"/>
  <c r="G22" i="1"/>
  <c r="F22" i="1"/>
  <c r="E22" i="1"/>
  <c r="D22" i="1"/>
  <c r="C22" i="1"/>
  <c r="B22" i="1"/>
  <c r="X20" i="1"/>
  <c r="X15" i="1"/>
  <c r="Y15" i="1" s="1"/>
  <c r="K15" i="1"/>
  <c r="X9" i="1"/>
  <c r="X10" i="1"/>
  <c r="X11" i="1"/>
  <c r="X12" i="1"/>
  <c r="X13" i="1"/>
  <c r="X14" i="1"/>
  <c r="X16" i="1"/>
  <c r="X17" i="1"/>
  <c r="X18" i="1"/>
  <c r="X19" i="1"/>
  <c r="X21" i="1"/>
  <c r="X8" i="1"/>
  <c r="M9" i="1"/>
  <c r="M10" i="1"/>
  <c r="M11" i="1"/>
  <c r="K9" i="1"/>
  <c r="K10" i="1"/>
  <c r="K12" i="1"/>
  <c r="K13" i="1"/>
  <c r="K14" i="1"/>
  <c r="K17" i="1"/>
  <c r="K18" i="1"/>
  <c r="K19" i="1"/>
  <c r="K20" i="1"/>
  <c r="K21" i="1"/>
  <c r="K8" i="1"/>
  <c r="B11" i="1"/>
  <c r="H2" i="2" l="1"/>
  <c r="G17" i="2"/>
  <c r="F17" i="2"/>
  <c r="M23" i="1"/>
  <c r="Y22" i="1"/>
  <c r="D23" i="1"/>
  <c r="E23" i="1"/>
  <c r="X23" i="1"/>
  <c r="K22" i="1"/>
  <c r="I23" i="1"/>
  <c r="Z22" i="1"/>
  <c r="F23" i="1"/>
  <c r="G23" i="1"/>
  <c r="K11" i="1"/>
  <c r="K16" i="1"/>
  <c r="B23" i="1"/>
  <c r="Z15" i="1"/>
  <c r="R3" i="2"/>
  <c r="R4" i="2"/>
  <c r="R5" i="2"/>
  <c r="R2" i="2"/>
  <c r="J2" i="2" l="1"/>
  <c r="J17" i="2" s="1"/>
  <c r="H17" i="2"/>
  <c r="K23" i="1"/>
  <c r="N16" i="1"/>
  <c r="N14" i="1"/>
  <c r="N9" i="1" l="1"/>
  <c r="N10" i="1"/>
  <c r="N11" i="1"/>
  <c r="N12" i="1"/>
  <c r="N13" i="1"/>
  <c r="N17" i="1"/>
  <c r="N18" i="1"/>
  <c r="N19" i="1"/>
  <c r="N20" i="1"/>
  <c r="Y20" i="1" s="1"/>
  <c r="Z20" i="1" s="1"/>
  <c r="N21" i="1"/>
  <c r="N8" i="1"/>
  <c r="Y8" i="1" l="1"/>
  <c r="N23" i="1"/>
  <c r="Y21" i="1"/>
  <c r="Z21" i="1" s="1"/>
  <c r="Y19" i="1" l="1"/>
  <c r="Z19" i="1" s="1"/>
  <c r="Y18" i="1" l="1"/>
  <c r="Z18" i="1" s="1"/>
  <c r="Y17" i="1"/>
  <c r="Y14" i="1" l="1"/>
  <c r="Z14" i="1" s="1"/>
  <c r="Z17" i="1"/>
  <c r="Y16" i="1"/>
  <c r="Z16" i="1" s="1"/>
  <c r="Y13" i="1" l="1"/>
  <c r="Z13" i="1" l="1"/>
  <c r="Y12" i="1"/>
  <c r="Z12" i="1" l="1"/>
  <c r="Y10" i="1"/>
  <c r="Y11" i="1" l="1"/>
  <c r="Z11" i="1" s="1"/>
  <c r="Z10" i="1"/>
  <c r="Y9" i="1"/>
  <c r="Y23" i="1" s="1"/>
  <c r="Z9" i="1" l="1"/>
  <c r="Z8" i="1"/>
  <c r="Z23" i="1" l="1"/>
  <c r="E17" i="2"/>
</calcChain>
</file>

<file path=xl/sharedStrings.xml><?xml version="1.0" encoding="utf-8"?>
<sst xmlns="http://schemas.openxmlformats.org/spreadsheetml/2006/main" count="76" uniqueCount="50">
  <si>
    <t>FUNDO DE SEGURIDADE SOCIAL E DE BENEFÍCIOS DOS FUNCIONÁRIOS PÚBLICOS DE VÁRZEA PAULISTA - FUSSBE - SP</t>
  </si>
  <si>
    <t xml:space="preserve">CALCULO DO VALOR DA COMPLEMENTAÇÃO DEVIDA PELA CÂMARA MUNICIPAL REFERENTE A LEI 2023/2009 ART. 17-F </t>
  </si>
  <si>
    <t>FOLHA DE PAGAMENTO DO FUNDO FINANCEIRO</t>
  </si>
  <si>
    <t>RECEITAS DO FUNDO FINANCEIRO</t>
  </si>
  <si>
    <t>MESES</t>
  </si>
  <si>
    <t>SUELI</t>
  </si>
  <si>
    <t>SOMA</t>
  </si>
  <si>
    <t>SERVIDOR</t>
  </si>
  <si>
    <t>PATRONAL</t>
  </si>
  <si>
    <t>SOMA ATIVOS</t>
  </si>
  <si>
    <t>SOMA  INATIVOS</t>
  </si>
  <si>
    <t>SOMA RECEITAS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</si>
  <si>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</si>
  <si>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</si>
  <si>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</si>
  <si>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</si>
  <si>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</si>
  <si>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</si>
  <si>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</si>
  <si>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</si>
  <si>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</si>
  <si>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</si>
  <si>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</si>
  <si>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</si>
  <si>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</si>
  <si>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Provisão</t>
  </si>
  <si>
    <t>VALOR CORRIGIDO</t>
  </si>
  <si>
    <t>JUROS 0,5% A.M.</t>
  </si>
  <si>
    <t>VALOR JUROS</t>
  </si>
  <si>
    <t>Pago</t>
  </si>
  <si>
    <t>ANTONIO APARECIDO SIQUEIRA</t>
  </si>
  <si>
    <t>MARIA APARECIDA CANHASI</t>
  </si>
  <si>
    <t>ORLANDO CANNA</t>
  </si>
  <si>
    <t>SUELI AP. GANDOLFO ROCHA</t>
  </si>
  <si>
    <t>CLEIDE SANTOS NOG. SILVA</t>
  </si>
  <si>
    <t>CLEIDE TEREZINHA FELICIANO</t>
  </si>
  <si>
    <t>DOMINGOS GASPARI NETO</t>
  </si>
  <si>
    <t>IRANI GONÇALVES</t>
  </si>
  <si>
    <t>MARIA APARECIDA CANHASSI</t>
  </si>
  <si>
    <t>PAULO ROBERTO DE OLIVERIRA</t>
  </si>
  <si>
    <t>IPCA IBGE ATUAL</t>
  </si>
  <si>
    <t>Dt Inicial</t>
  </si>
  <si>
    <t>Dt Final</t>
  </si>
  <si>
    <t>Qtd Mês</t>
  </si>
  <si>
    <t>EXERCÍCIO DE 2022</t>
  </si>
  <si>
    <t>Jul.adiant 13º</t>
  </si>
  <si>
    <t xml:space="preserve">Nov. adiant 13º </t>
  </si>
  <si>
    <t>Dez. 13º Sal.</t>
  </si>
  <si>
    <t>Saldo final  31/10/2023</t>
  </si>
  <si>
    <t>IPCA até out2023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</si>
</sst>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mm/yy"/>
    <numFmt numFmtId="166" formatCode="[$R$-416]&quot; &quot;#,##0.00;[Red]&quot;-&quot;[$R$-416]&quot; &quot;#,##0.00"/>
    <numFmt numFmtId="167" formatCode="0.000000"/>
    <numFmt numFmtId="168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charset val="1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6" fontId="6" fillId="0" borderId="0"/>
  </cellStyleXfs>
  <cellXfs count="81">
    <xf numFmtId="0" fontId="0" fillId="0" borderId="0" xfId="0"/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4" fontId="1" fillId="0" borderId="9" xfId="0" applyNumberFormat="1" applyFont="1" applyBorder="1" applyAlignment="1">
      <alignment horizontal="right"/>
    </xf>
    <xf numFmtId="4" fontId="1" fillId="0" borderId="9" xfId="0" applyNumberFormat="1" applyFont="1" applyBorder="1"/>
    <xf numFmtId="165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4" fontId="0" fillId="0" borderId="0" xfId="0" applyNumberFormat="1"/>
    <xf numFmtId="164" fontId="0" fillId="0" borderId="0" xfId="1" applyFont="1"/>
    <xf numFmtId="0" fontId="4" fillId="0" borderId="0" xfId="2"/>
    <xf numFmtId="0" fontId="9" fillId="0" borderId="0" xfId="2" applyFont="1"/>
    <xf numFmtId="164" fontId="9" fillId="0" borderId="0" xfId="1" applyFont="1"/>
    <xf numFmtId="164" fontId="4" fillId="0" borderId="0" xfId="1" applyFont="1"/>
    <xf numFmtId="0" fontId="10" fillId="0" borderId="0" xfId="2" applyFont="1"/>
    <xf numFmtId="164" fontId="10" fillId="0" borderId="0" xfId="1" applyFont="1"/>
    <xf numFmtId="164" fontId="4" fillId="0" borderId="0" xfId="2" applyNumberFormat="1"/>
    <xf numFmtId="43" fontId="0" fillId="0" borderId="0" xfId="0" applyNumberFormat="1"/>
    <xf numFmtId="167" fontId="9" fillId="0" borderId="0" xfId="2" applyNumberFormat="1" applyFont="1"/>
    <xf numFmtId="167" fontId="4" fillId="0" borderId="0" xfId="2" applyNumberFormat="1"/>
    <xf numFmtId="167" fontId="10" fillId="0" borderId="0" xfId="2" applyNumberFormat="1" applyFont="1"/>
    <xf numFmtId="167" fontId="0" fillId="0" borderId="0" xfId="0" applyNumberFormat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/>
    <xf numFmtId="4" fontId="1" fillId="3" borderId="7" xfId="0" applyNumberFormat="1" applyFont="1" applyFill="1" applyBorder="1"/>
    <xf numFmtId="4" fontId="1" fillId="3" borderId="12" xfId="0" applyNumberFormat="1" applyFont="1" applyFill="1" applyBorder="1" applyAlignment="1">
      <alignment horizontal="right" vertical="center"/>
    </xf>
    <xf numFmtId="0" fontId="7" fillId="0" borderId="14" xfId="2" applyFont="1" applyBorder="1" applyAlignment="1">
      <alignment horizontal="center" vertical="center" wrapText="1"/>
    </xf>
    <xf numFmtId="4" fontId="7" fillId="0" borderId="15" xfId="2" applyNumberFormat="1" applyFont="1" applyBorder="1" applyAlignment="1">
      <alignment horizontal="center" vertical="center" wrapText="1"/>
    </xf>
    <xf numFmtId="167" fontId="8" fillId="0" borderId="15" xfId="2" applyNumberFormat="1" applyFont="1" applyBorder="1" applyAlignment="1">
      <alignment horizontal="center" vertical="center" wrapText="1"/>
    </xf>
    <xf numFmtId="4" fontId="8" fillId="0" borderId="15" xfId="2" applyNumberFormat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164" fontId="8" fillId="0" borderId="13" xfId="1" applyFont="1" applyBorder="1" applyAlignment="1">
      <alignment horizontal="right"/>
    </xf>
    <xf numFmtId="10" fontId="8" fillId="0" borderId="13" xfId="2" applyNumberFormat="1" applyFont="1" applyBorder="1" applyAlignment="1">
      <alignment horizontal="right"/>
    </xf>
    <xf numFmtId="167" fontId="8" fillId="0" borderId="16" xfId="2" applyNumberFormat="1" applyFont="1" applyBorder="1" applyAlignment="1">
      <alignment horizontal="right"/>
    </xf>
    <xf numFmtId="164" fontId="8" fillId="0" borderId="16" xfId="1" applyFont="1" applyBorder="1" applyAlignment="1">
      <alignment horizontal="right"/>
    </xf>
    <xf numFmtId="10" fontId="8" fillId="0" borderId="16" xfId="2" applyNumberFormat="1" applyFont="1" applyBorder="1" applyAlignment="1">
      <alignment horizontal="right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9" xfId="0" applyNumberFormat="1" applyFont="1" applyFill="1" applyBorder="1"/>
    <xf numFmtId="4" fontId="1" fillId="4" borderId="12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/>
    <xf numFmtId="14" fontId="4" fillId="0" borderId="0" xfId="1" applyNumberFormat="1" applyFont="1"/>
    <xf numFmtId="14" fontId="0" fillId="0" borderId="0" xfId="1" applyNumberFormat="1" applyFont="1"/>
    <xf numFmtId="165" fontId="1" fillId="0" borderId="17" xfId="0" applyNumberFormat="1" applyFont="1" applyBorder="1" applyAlignment="1">
      <alignment horizontal="left"/>
    </xf>
    <xf numFmtId="4" fontId="1" fillId="0" borderId="18" xfId="0" applyNumberFormat="1" applyFont="1" applyBorder="1" applyAlignment="1">
      <alignment horizontal="right"/>
    </xf>
    <xf numFmtId="4" fontId="1" fillId="0" borderId="18" xfId="0" applyNumberFormat="1" applyFont="1" applyBorder="1"/>
    <xf numFmtId="4" fontId="1" fillId="3" borderId="18" xfId="0" applyNumberFormat="1" applyFont="1" applyFill="1" applyBorder="1"/>
    <xf numFmtId="4" fontId="1" fillId="4" borderId="18" xfId="0" applyNumberFormat="1" applyFont="1" applyFill="1" applyBorder="1"/>
    <xf numFmtId="165" fontId="1" fillId="0" borderId="9" xfId="0" applyNumberFormat="1" applyFont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4" fontId="1" fillId="2" borderId="9" xfId="0" applyNumberFormat="1" applyFont="1" applyFill="1" applyBorder="1"/>
    <xf numFmtId="168" fontId="8" fillId="2" borderId="13" xfId="2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left"/>
    </xf>
    <xf numFmtId="165" fontId="1" fillId="2" borderId="10" xfId="0" applyNumberFormat="1" applyFont="1" applyFill="1" applyBorder="1" applyAlignment="1">
      <alignment horizontal="left"/>
    </xf>
    <xf numFmtId="165" fontId="1" fillId="2" borderId="9" xfId="0" applyNumberFormat="1" applyFont="1" applyFill="1" applyBorder="1" applyAlignment="1">
      <alignment horizontal="left"/>
    </xf>
    <xf numFmtId="165" fontId="1" fillId="2" borderId="17" xfId="0" applyNumberFormat="1" applyFont="1" applyFill="1" applyBorder="1" applyAlignment="1">
      <alignment horizontal="left"/>
    </xf>
    <xf numFmtId="4" fontId="1" fillId="2" borderId="18" xfId="0" applyNumberFormat="1" applyFont="1" applyFill="1" applyBorder="1"/>
    <xf numFmtId="0" fontId="1" fillId="2" borderId="11" xfId="0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right" vertical="center"/>
    </xf>
    <xf numFmtId="4" fontId="7" fillId="2" borderId="16" xfId="2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/>
    </xf>
    <xf numFmtId="0" fontId="0" fillId="2" borderId="0" xfId="0" applyFill="1"/>
    <xf numFmtId="43" fontId="4" fillId="0" borderId="0" xfId="2" applyNumberFormat="1"/>
    <xf numFmtId="4" fontId="10" fillId="0" borderId="0" xfId="2" applyNumberFormat="1" applyFont="1"/>
    <xf numFmtId="4" fontId="8" fillId="0" borderId="19" xfId="2" applyNumberFormat="1" applyFont="1" applyBorder="1" applyAlignment="1">
      <alignment horizontal="center" vertical="center" wrapText="1"/>
    </xf>
    <xf numFmtId="164" fontId="4" fillId="0" borderId="20" xfId="1" applyFont="1" applyBorder="1"/>
    <xf numFmtId="164" fontId="10" fillId="0" borderId="9" xfId="1" applyFont="1" applyBorder="1"/>
    <xf numFmtId="164" fontId="4" fillId="0" borderId="9" xfId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9" fillId="0" borderId="0" xfId="2" applyNumberFormat="1" applyFont="1"/>
    <xf numFmtId="164" fontId="4" fillId="2" borderId="20" xfId="1" applyFont="1" applyFill="1" applyBorder="1"/>
    <xf numFmtId="164" fontId="8" fillId="0" borderId="21" xfId="1" applyFont="1" applyBorder="1" applyAlignment="1">
      <alignment horizontal="right"/>
    </xf>
    <xf numFmtId="4" fontId="8" fillId="0" borderId="9" xfId="2" applyNumberFormat="1" applyFont="1" applyBorder="1" applyAlignment="1">
      <alignment horizontal="center" vertical="center" wrapText="1"/>
    </xf>
  </cellXfs>
  <cellStyles count="7">
    <cellStyle name="Heading" xfId="3" xr:uid="{00000000-0005-0000-0000-000000000000}"/>
    <cellStyle name="Heading1" xfId="4" xr:uid="{00000000-0005-0000-0000-000001000000}"/>
    <cellStyle name="Normal" xfId="0" builtinId="0"/>
    <cellStyle name="Normal 2" xfId="2" xr:uid="{00000000-0005-0000-0000-000003000000}"/>
    <cellStyle name="Result" xfId="5" xr:uid="{00000000-0005-0000-0000-000004000000}"/>
    <cellStyle name="Result2" xfId="6" xr:uid="{00000000-0005-0000-0000-000005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zoomScale="115" zoomScaleNormal="115" workbookViewId="0">
      <selection activeCell="T25" sqref="T25"/>
    </sheetView>
  </sheetViews>
  <sheetFormatPr defaultRowHeight="15" x14ac:dyDescent="0.25"/>
  <cols>
    <col min="1" max="1" width="12.85546875" bestFit="1" customWidth="1"/>
    <col min="11" max="12" width="10" bestFit="1" customWidth="1"/>
    <col min="26" max="26" width="13.7109375" bestFit="1" customWidth="1"/>
  </cols>
  <sheetData>
    <row r="1" spans="1:26" x14ac:dyDescent="0.25">
      <c r="B1" s="1"/>
    </row>
    <row r="2" spans="1:26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6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6" x14ac:dyDescent="0.25">
      <c r="A4" s="73" t="s">
        <v>44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6" ht="15.75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x14ac:dyDescent="0.25">
      <c r="A6" s="74" t="s">
        <v>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 t="s">
        <v>3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6"/>
    </row>
    <row r="7" spans="1:26" ht="48.75" thickBot="1" x14ac:dyDescent="0.3">
      <c r="A7" s="4" t="s">
        <v>4</v>
      </c>
      <c r="B7" s="5" t="s">
        <v>30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31</v>
      </c>
      <c r="H7" s="5" t="s">
        <v>32</v>
      </c>
      <c r="I7" s="5" t="s">
        <v>39</v>
      </c>
      <c r="J7" s="5" t="s">
        <v>33</v>
      </c>
      <c r="K7" s="42" t="s">
        <v>6</v>
      </c>
      <c r="L7" s="28" t="s">
        <v>7</v>
      </c>
      <c r="M7" s="28" t="s">
        <v>8</v>
      </c>
      <c r="N7" s="28" t="s">
        <v>9</v>
      </c>
      <c r="O7" s="5" t="s">
        <v>30</v>
      </c>
      <c r="P7" s="5" t="s">
        <v>34</v>
      </c>
      <c r="Q7" s="5" t="s">
        <v>35</v>
      </c>
      <c r="R7" s="5" t="s">
        <v>36</v>
      </c>
      <c r="S7" s="5" t="s">
        <v>37</v>
      </c>
      <c r="T7" s="5" t="s">
        <v>38</v>
      </c>
      <c r="U7" s="5" t="s">
        <v>32</v>
      </c>
      <c r="V7" s="5" t="s">
        <v>39</v>
      </c>
      <c r="W7" s="5" t="s">
        <v>5</v>
      </c>
      <c r="X7" s="42" t="s">
        <v>10</v>
      </c>
      <c r="Y7" s="6" t="s">
        <v>11</v>
      </c>
      <c r="Z7" s="6" t="s">
        <v>25</v>
      </c>
    </row>
    <row r="8" spans="1:26" x14ac:dyDescent="0.25">
      <c r="A8" s="7" t="s">
        <v>12</v>
      </c>
      <c r="B8" s="9">
        <v>12816.03</v>
      </c>
      <c r="C8" s="10">
        <v>20000</v>
      </c>
      <c r="D8" s="10">
        <v>6864.23</v>
      </c>
      <c r="E8" s="10">
        <v>20000</v>
      </c>
      <c r="F8" s="10">
        <v>20000</v>
      </c>
      <c r="G8" s="10">
        <v>20000</v>
      </c>
      <c r="H8" s="10">
        <v>20000</v>
      </c>
      <c r="I8" s="10">
        <v>11514.85</v>
      </c>
      <c r="J8" s="10">
        <v>5852.39</v>
      </c>
      <c r="K8" s="45">
        <f>SUM(B8:J8)</f>
        <v>137047.5</v>
      </c>
      <c r="L8" s="29">
        <v>3715.05</v>
      </c>
      <c r="M8" s="30">
        <v>4129.0200000000004</v>
      </c>
      <c r="N8" s="30">
        <f>L8+M8</f>
        <v>7844.0700000000006</v>
      </c>
      <c r="O8" s="9">
        <v>802.03</v>
      </c>
      <c r="P8" s="10">
        <v>1807.79</v>
      </c>
      <c r="Q8" s="10">
        <v>0</v>
      </c>
      <c r="R8" s="10">
        <v>1807.79</v>
      </c>
      <c r="S8" s="10">
        <v>1807.79</v>
      </c>
      <c r="T8" s="10">
        <v>1807.79</v>
      </c>
      <c r="U8" s="10">
        <v>1807.79</v>
      </c>
      <c r="V8" s="10">
        <v>619.87</v>
      </c>
      <c r="W8" s="10">
        <v>0</v>
      </c>
      <c r="X8" s="43">
        <f>SUM(O8:W8)</f>
        <v>10460.85</v>
      </c>
      <c r="Y8" s="10">
        <f>X8+N8</f>
        <v>18304.920000000002</v>
      </c>
      <c r="Z8" s="10">
        <f>K8-Y8</f>
        <v>118742.58</v>
      </c>
    </row>
    <row r="9" spans="1:26" x14ac:dyDescent="0.25">
      <c r="A9" s="8" t="s">
        <v>13</v>
      </c>
      <c r="B9" s="9">
        <v>12816.03</v>
      </c>
      <c r="C9" s="10">
        <v>20000</v>
      </c>
      <c r="D9" s="10">
        <v>6864.23</v>
      </c>
      <c r="E9" s="10">
        <v>20000</v>
      </c>
      <c r="F9" s="10">
        <v>20000</v>
      </c>
      <c r="G9" s="10">
        <v>20000</v>
      </c>
      <c r="H9" s="10">
        <v>20000</v>
      </c>
      <c r="I9" s="10">
        <v>11514.85</v>
      </c>
      <c r="J9" s="10">
        <v>5852.39</v>
      </c>
      <c r="K9" s="45">
        <f t="shared" ref="K9:K22" si="0">SUM(B9:J9)</f>
        <v>137047.5</v>
      </c>
      <c r="L9" s="29">
        <v>3715.05</v>
      </c>
      <c r="M9" s="30">
        <f>4751.43-622.41</f>
        <v>4129.0200000000004</v>
      </c>
      <c r="N9" s="30">
        <f t="shared" ref="N9:N22" si="1">L9+M9</f>
        <v>7844.0700000000006</v>
      </c>
      <c r="O9" s="9">
        <v>802.03</v>
      </c>
      <c r="P9" s="10">
        <v>1807.79</v>
      </c>
      <c r="Q9" s="10">
        <v>0</v>
      </c>
      <c r="R9" s="10">
        <v>1807.79</v>
      </c>
      <c r="S9" s="10">
        <v>1807.79</v>
      </c>
      <c r="T9" s="10">
        <v>1807.79</v>
      </c>
      <c r="U9" s="10">
        <v>1807.79</v>
      </c>
      <c r="V9" s="10">
        <v>619.87</v>
      </c>
      <c r="W9" s="10">
        <v>0</v>
      </c>
      <c r="X9" s="43">
        <f t="shared" ref="X9:X22" si="2">SUM(O9:W9)</f>
        <v>10460.85</v>
      </c>
      <c r="Y9" s="10">
        <f t="shared" ref="Y9:Y22" si="3">X9+N9</f>
        <v>18304.920000000002</v>
      </c>
      <c r="Z9" s="10">
        <f t="shared" ref="Z9:Z22" si="4">K9-Y9</f>
        <v>118742.58</v>
      </c>
    </row>
    <row r="10" spans="1:26" x14ac:dyDescent="0.25">
      <c r="A10" s="8" t="s">
        <v>14</v>
      </c>
      <c r="B10" s="9">
        <v>13777.23</v>
      </c>
      <c r="C10" s="10">
        <v>20000</v>
      </c>
      <c r="D10" s="10">
        <v>7379.05</v>
      </c>
      <c r="E10" s="10">
        <v>20000</v>
      </c>
      <c r="F10" s="10">
        <v>20000</v>
      </c>
      <c r="G10" s="10">
        <v>20000</v>
      </c>
      <c r="H10" s="10">
        <v>20000</v>
      </c>
      <c r="I10" s="10">
        <v>12378.46</v>
      </c>
      <c r="J10" s="10">
        <v>6291.32</v>
      </c>
      <c r="K10" s="45">
        <f t="shared" si="0"/>
        <v>139826.06</v>
      </c>
      <c r="L10" s="29">
        <v>4021.5</v>
      </c>
      <c r="M10" s="30">
        <f>5252.23-782.62</f>
        <v>4469.6099999999997</v>
      </c>
      <c r="N10" s="30">
        <f t="shared" si="1"/>
        <v>8491.11</v>
      </c>
      <c r="O10" s="9">
        <v>936.6</v>
      </c>
      <c r="P10" s="10">
        <v>1807.79</v>
      </c>
      <c r="Q10" s="10">
        <v>40.86</v>
      </c>
      <c r="R10" s="10">
        <v>1807.79</v>
      </c>
      <c r="S10" s="10">
        <v>1807.79</v>
      </c>
      <c r="T10" s="10">
        <v>1807.79</v>
      </c>
      <c r="U10" s="10">
        <v>1807.79</v>
      </c>
      <c r="V10" s="10">
        <v>740.77</v>
      </c>
      <c r="W10" s="10">
        <v>0</v>
      </c>
      <c r="X10" s="43">
        <f t="shared" si="2"/>
        <v>10757.18</v>
      </c>
      <c r="Y10" s="10">
        <f t="shared" si="3"/>
        <v>19248.29</v>
      </c>
      <c r="Z10" s="10">
        <f t="shared" si="4"/>
        <v>120577.76999999999</v>
      </c>
    </row>
    <row r="11" spans="1:26" s="66" customFormat="1" x14ac:dyDescent="0.25">
      <c r="A11" s="57" t="s">
        <v>15</v>
      </c>
      <c r="B11" s="65">
        <f>14166.84+389.61</f>
        <v>14556.45</v>
      </c>
      <c r="C11" s="55">
        <f>21500+1500</f>
        <v>23000</v>
      </c>
      <c r="D11" s="55">
        <f>7587.72+208.67</f>
        <v>7796.39</v>
      </c>
      <c r="E11" s="55">
        <f>21500+1500</f>
        <v>23000</v>
      </c>
      <c r="F11" s="55">
        <f>21500+1500</f>
        <v>23000</v>
      </c>
      <c r="G11" s="55">
        <f>21500+1500</f>
        <v>23000</v>
      </c>
      <c r="H11" s="55">
        <f>21500+1500</f>
        <v>23000</v>
      </c>
      <c r="I11" s="55">
        <f>12728.52+350.06</f>
        <v>13078.58</v>
      </c>
      <c r="J11" s="55">
        <f>6469.23+177.91</f>
        <v>6647.1399999999994</v>
      </c>
      <c r="K11" s="45">
        <f t="shared" si="0"/>
        <v>157078.56</v>
      </c>
      <c r="L11" s="29">
        <v>4045.78</v>
      </c>
      <c r="M11" s="30">
        <f>5279.21-782.62</f>
        <v>4496.59</v>
      </c>
      <c r="N11" s="30">
        <f t="shared" si="1"/>
        <v>8542.3700000000008</v>
      </c>
      <c r="O11" s="65">
        <v>991.15</v>
      </c>
      <c r="P11" s="55">
        <v>2017.79</v>
      </c>
      <c r="Q11" s="55">
        <v>70.069999999999993</v>
      </c>
      <c r="R11" s="55">
        <v>2017.79</v>
      </c>
      <c r="S11" s="55">
        <v>2017.79</v>
      </c>
      <c r="T11" s="55">
        <v>2017.79</v>
      </c>
      <c r="U11" s="55">
        <v>2017.79</v>
      </c>
      <c r="V11" s="55">
        <v>789.78</v>
      </c>
      <c r="W11" s="55">
        <v>0</v>
      </c>
      <c r="X11" s="43">
        <f t="shared" si="2"/>
        <v>11939.950000000003</v>
      </c>
      <c r="Y11" s="55">
        <f t="shared" si="3"/>
        <v>20482.320000000003</v>
      </c>
      <c r="Z11" s="55">
        <f t="shared" si="4"/>
        <v>136596.24</v>
      </c>
    </row>
    <row r="12" spans="1:26" x14ac:dyDescent="0.25">
      <c r="A12" s="8" t="s">
        <v>16</v>
      </c>
      <c r="B12" s="9">
        <v>14166.84</v>
      </c>
      <c r="C12" s="10">
        <v>21500</v>
      </c>
      <c r="D12" s="10">
        <v>7587.72</v>
      </c>
      <c r="E12" s="10">
        <v>21500</v>
      </c>
      <c r="F12" s="10">
        <v>21500</v>
      </c>
      <c r="G12" s="10">
        <v>21500</v>
      </c>
      <c r="H12" s="10">
        <v>21500</v>
      </c>
      <c r="I12" s="10">
        <v>12728.52</v>
      </c>
      <c r="J12" s="10">
        <v>6469.23</v>
      </c>
      <c r="K12" s="45">
        <f t="shared" si="0"/>
        <v>148452.31</v>
      </c>
      <c r="L12" s="29">
        <v>4045.78</v>
      </c>
      <c r="M12" s="30">
        <v>4496.59</v>
      </c>
      <c r="N12" s="30">
        <f t="shared" si="1"/>
        <v>8542.3700000000008</v>
      </c>
      <c r="O12" s="9">
        <v>991.15</v>
      </c>
      <c r="P12" s="10">
        <v>2017.79</v>
      </c>
      <c r="Q12" s="10">
        <v>70.069999999999993</v>
      </c>
      <c r="R12" s="10">
        <v>2017.79</v>
      </c>
      <c r="S12" s="10">
        <v>2017.79</v>
      </c>
      <c r="T12" s="10">
        <v>2017.79</v>
      </c>
      <c r="U12" s="10">
        <v>2017.79</v>
      </c>
      <c r="V12" s="10">
        <v>789.78</v>
      </c>
      <c r="W12" s="10">
        <v>0</v>
      </c>
      <c r="X12" s="43">
        <f t="shared" si="2"/>
        <v>11939.950000000003</v>
      </c>
      <c r="Y12" s="10">
        <f t="shared" si="3"/>
        <v>20482.320000000003</v>
      </c>
      <c r="Z12" s="10">
        <f t="shared" si="4"/>
        <v>127969.98999999999</v>
      </c>
    </row>
    <row r="13" spans="1:26" x14ac:dyDescent="0.25">
      <c r="A13" s="8" t="s">
        <v>17</v>
      </c>
      <c r="B13" s="9">
        <v>14166.84</v>
      </c>
      <c r="C13" s="10">
        <v>21500</v>
      </c>
      <c r="D13" s="10">
        <v>7587.72</v>
      </c>
      <c r="E13" s="10">
        <v>21500</v>
      </c>
      <c r="F13" s="10">
        <v>21500</v>
      </c>
      <c r="G13" s="10">
        <v>21500</v>
      </c>
      <c r="H13" s="10">
        <v>21500</v>
      </c>
      <c r="I13" s="10">
        <v>12728.52</v>
      </c>
      <c r="J13" s="10">
        <v>6469.23</v>
      </c>
      <c r="K13" s="45">
        <f t="shared" si="0"/>
        <v>148452.31</v>
      </c>
      <c r="L13" s="29">
        <v>4045.78</v>
      </c>
      <c r="M13" s="30">
        <v>4496.59</v>
      </c>
      <c r="N13" s="30">
        <f t="shared" si="1"/>
        <v>8542.3700000000008</v>
      </c>
      <c r="O13" s="9">
        <v>991.15</v>
      </c>
      <c r="P13" s="10">
        <v>2017.79</v>
      </c>
      <c r="Q13" s="10">
        <v>70.069999999999993</v>
      </c>
      <c r="R13" s="10">
        <v>2017.79</v>
      </c>
      <c r="S13" s="10">
        <v>2017.79</v>
      </c>
      <c r="T13" s="10">
        <v>2017.79</v>
      </c>
      <c r="U13" s="10">
        <v>2017.79</v>
      </c>
      <c r="V13" s="10">
        <v>789.78</v>
      </c>
      <c r="W13" s="10">
        <v>0</v>
      </c>
      <c r="X13" s="43">
        <f t="shared" si="2"/>
        <v>11939.950000000003</v>
      </c>
      <c r="Y13" s="10">
        <f t="shared" si="3"/>
        <v>20482.320000000003</v>
      </c>
      <c r="Z13" s="10">
        <f t="shared" si="4"/>
        <v>127969.98999999999</v>
      </c>
    </row>
    <row r="14" spans="1:26" x14ac:dyDescent="0.25">
      <c r="A14" s="8" t="s">
        <v>18</v>
      </c>
      <c r="B14" s="9">
        <v>14166.84</v>
      </c>
      <c r="C14" s="10">
        <v>21500</v>
      </c>
      <c r="D14" s="10">
        <v>7587.72</v>
      </c>
      <c r="E14" s="10">
        <v>21500</v>
      </c>
      <c r="F14" s="10">
        <v>21500</v>
      </c>
      <c r="G14" s="10">
        <v>21500</v>
      </c>
      <c r="H14" s="10">
        <v>21500</v>
      </c>
      <c r="I14" s="10">
        <v>12728.52</v>
      </c>
      <c r="J14" s="10">
        <v>6469.23</v>
      </c>
      <c r="K14" s="45">
        <f t="shared" si="0"/>
        <v>148452.31</v>
      </c>
      <c r="L14" s="29">
        <v>4045.78</v>
      </c>
      <c r="M14" s="30">
        <v>4496.59</v>
      </c>
      <c r="N14" s="30">
        <f>L14+M14</f>
        <v>8542.3700000000008</v>
      </c>
      <c r="O14" s="9">
        <v>991.15</v>
      </c>
      <c r="P14" s="10">
        <v>2017.79</v>
      </c>
      <c r="Q14" s="10">
        <v>70.069999999999993</v>
      </c>
      <c r="R14" s="10">
        <v>2017.79</v>
      </c>
      <c r="S14" s="10">
        <v>2017.79</v>
      </c>
      <c r="T14" s="10">
        <v>2017.79</v>
      </c>
      <c r="U14" s="10">
        <v>2017.79</v>
      </c>
      <c r="V14" s="10">
        <v>789.78</v>
      </c>
      <c r="W14" s="10">
        <v>0</v>
      </c>
      <c r="X14" s="43">
        <f t="shared" si="2"/>
        <v>11939.950000000003</v>
      </c>
      <c r="Y14" s="10">
        <f t="shared" si="3"/>
        <v>20482.320000000003</v>
      </c>
      <c r="Z14" s="10">
        <f t="shared" si="4"/>
        <v>127969.98999999999</v>
      </c>
    </row>
    <row r="15" spans="1:26" x14ac:dyDescent="0.25">
      <c r="A15" s="8" t="s">
        <v>45</v>
      </c>
      <c r="B15" s="9">
        <v>7083.42</v>
      </c>
      <c r="C15" s="10">
        <v>10750</v>
      </c>
      <c r="D15" s="10">
        <v>3793.86</v>
      </c>
      <c r="E15" s="10">
        <v>10750</v>
      </c>
      <c r="F15" s="10">
        <v>10750</v>
      </c>
      <c r="G15" s="10">
        <v>10750</v>
      </c>
      <c r="H15" s="10">
        <v>10750</v>
      </c>
      <c r="I15" s="10">
        <v>6364.26</v>
      </c>
      <c r="J15" s="10">
        <v>0</v>
      </c>
      <c r="K15" s="45">
        <f t="shared" si="0"/>
        <v>70991.539999999994</v>
      </c>
      <c r="L15" s="29">
        <v>0</v>
      </c>
      <c r="M15" s="30">
        <v>0</v>
      </c>
      <c r="N15" s="30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43">
        <f t="shared" si="2"/>
        <v>0</v>
      </c>
      <c r="Y15" s="10">
        <f t="shared" si="3"/>
        <v>0</v>
      </c>
      <c r="Z15" s="10">
        <f t="shared" si="4"/>
        <v>70991.539999999994</v>
      </c>
    </row>
    <row r="16" spans="1:26" s="66" customFormat="1" x14ac:dyDescent="0.25">
      <c r="A16" s="57" t="s">
        <v>19</v>
      </c>
      <c r="B16" s="65">
        <f>14166.84+1</f>
        <v>14167.84</v>
      </c>
      <c r="C16" s="55">
        <f>21500</f>
        <v>21500</v>
      </c>
      <c r="D16" s="55">
        <f>7587.72</f>
        <v>7587.72</v>
      </c>
      <c r="E16" s="55">
        <f>21500</f>
        <v>21500</v>
      </c>
      <c r="F16" s="55">
        <f>21500</f>
        <v>21500</v>
      </c>
      <c r="G16" s="55">
        <f>21500</f>
        <v>21500</v>
      </c>
      <c r="H16" s="55">
        <f>21500</f>
        <v>21500</v>
      </c>
      <c r="I16" s="55">
        <f>12728.52</f>
        <v>12728.52</v>
      </c>
      <c r="J16" s="55">
        <f>6469.23</f>
        <v>6469.23</v>
      </c>
      <c r="K16" s="45">
        <f t="shared" si="0"/>
        <v>148453.31</v>
      </c>
      <c r="L16" s="29">
        <v>4045.78</v>
      </c>
      <c r="M16" s="30">
        <v>4496.59</v>
      </c>
      <c r="N16" s="30">
        <f t="shared" ref="N16" si="5">L16+M16</f>
        <v>8542.3700000000008</v>
      </c>
      <c r="O16" s="65">
        <v>992.15</v>
      </c>
      <c r="P16" s="55">
        <v>2017.79</v>
      </c>
      <c r="Q16" s="55">
        <v>70.069999999999993</v>
      </c>
      <c r="R16" s="55">
        <v>2017.79</v>
      </c>
      <c r="S16" s="55">
        <v>2017.79</v>
      </c>
      <c r="T16" s="55">
        <v>2017.79</v>
      </c>
      <c r="U16" s="55">
        <v>2017.79</v>
      </c>
      <c r="V16" s="55">
        <v>789.78</v>
      </c>
      <c r="W16" s="55">
        <v>0</v>
      </c>
      <c r="X16" s="43">
        <f t="shared" si="2"/>
        <v>11940.950000000003</v>
      </c>
      <c r="Y16" s="55">
        <f t="shared" si="3"/>
        <v>20483.320000000003</v>
      </c>
      <c r="Z16" s="55">
        <f t="shared" si="4"/>
        <v>127969.98999999999</v>
      </c>
    </row>
    <row r="17" spans="1:26" x14ac:dyDescent="0.25">
      <c r="A17" s="8" t="s">
        <v>20</v>
      </c>
      <c r="B17" s="9">
        <v>14166.84</v>
      </c>
      <c r="C17" s="10">
        <v>21500</v>
      </c>
      <c r="D17" s="10">
        <v>7587.72</v>
      </c>
      <c r="E17" s="10">
        <v>21500</v>
      </c>
      <c r="F17" s="10">
        <v>21500</v>
      </c>
      <c r="G17" s="10">
        <v>21500</v>
      </c>
      <c r="H17" s="10">
        <v>21500</v>
      </c>
      <c r="I17" s="10">
        <v>12728.52</v>
      </c>
      <c r="J17" s="10">
        <v>6469.23</v>
      </c>
      <c r="K17" s="45">
        <f t="shared" si="0"/>
        <v>148452.31</v>
      </c>
      <c r="L17" s="29">
        <v>4045.78</v>
      </c>
      <c r="M17" s="30">
        <v>4496.59</v>
      </c>
      <c r="N17" s="30">
        <f t="shared" si="1"/>
        <v>8542.3700000000008</v>
      </c>
      <c r="O17" s="9">
        <v>991.15</v>
      </c>
      <c r="P17" s="10">
        <v>2017.79</v>
      </c>
      <c r="Q17" s="10">
        <v>70.069999999999993</v>
      </c>
      <c r="R17" s="10">
        <v>2017.79</v>
      </c>
      <c r="S17" s="10">
        <v>2017.79</v>
      </c>
      <c r="T17" s="10">
        <v>2017.79</v>
      </c>
      <c r="U17" s="10">
        <v>2017.79</v>
      </c>
      <c r="V17" s="10">
        <v>789.78</v>
      </c>
      <c r="W17" s="10">
        <v>0</v>
      </c>
      <c r="X17" s="43">
        <f t="shared" si="2"/>
        <v>11939.950000000003</v>
      </c>
      <c r="Y17" s="10">
        <f t="shared" si="3"/>
        <v>20482.320000000003</v>
      </c>
      <c r="Z17" s="10">
        <f t="shared" si="4"/>
        <v>127969.98999999999</v>
      </c>
    </row>
    <row r="18" spans="1:26" x14ac:dyDescent="0.25">
      <c r="A18" s="11" t="s">
        <v>21</v>
      </c>
      <c r="B18" s="9">
        <v>14166.84</v>
      </c>
      <c r="C18" s="10">
        <v>21500</v>
      </c>
      <c r="D18" s="10">
        <v>7587.72</v>
      </c>
      <c r="E18" s="10">
        <v>21500</v>
      </c>
      <c r="F18" s="10">
        <v>21500</v>
      </c>
      <c r="G18" s="10">
        <v>21500</v>
      </c>
      <c r="H18" s="10">
        <v>21500</v>
      </c>
      <c r="I18" s="10">
        <v>12728.52</v>
      </c>
      <c r="J18" s="10">
        <v>6469.23</v>
      </c>
      <c r="K18" s="45">
        <f t="shared" si="0"/>
        <v>148452.31</v>
      </c>
      <c r="L18" s="29">
        <v>4045.78</v>
      </c>
      <c r="M18" s="30">
        <v>4496.59</v>
      </c>
      <c r="N18" s="30">
        <f t="shared" si="1"/>
        <v>8542.3700000000008</v>
      </c>
      <c r="O18" s="9">
        <v>991.15</v>
      </c>
      <c r="P18" s="10">
        <v>2017.79</v>
      </c>
      <c r="Q18" s="10">
        <v>70.069999999999993</v>
      </c>
      <c r="R18" s="10">
        <v>2017.79</v>
      </c>
      <c r="S18" s="10">
        <v>2017.79</v>
      </c>
      <c r="T18" s="10">
        <v>2017.79</v>
      </c>
      <c r="U18" s="10">
        <v>2017.79</v>
      </c>
      <c r="V18" s="10">
        <v>789.78</v>
      </c>
      <c r="W18" s="10">
        <v>0</v>
      </c>
      <c r="X18" s="43">
        <f t="shared" si="2"/>
        <v>11939.950000000003</v>
      </c>
      <c r="Y18" s="10">
        <f t="shared" si="3"/>
        <v>20482.320000000003</v>
      </c>
      <c r="Z18" s="10">
        <f t="shared" si="4"/>
        <v>127969.98999999999</v>
      </c>
    </row>
    <row r="19" spans="1:26" x14ac:dyDescent="0.25">
      <c r="A19" s="8" t="s">
        <v>22</v>
      </c>
      <c r="B19" s="9">
        <v>14166.84</v>
      </c>
      <c r="C19" s="10">
        <v>21500</v>
      </c>
      <c r="D19" s="10">
        <v>7587.72</v>
      </c>
      <c r="E19" s="10">
        <v>21500</v>
      </c>
      <c r="F19" s="10">
        <v>21500</v>
      </c>
      <c r="G19" s="10">
        <v>21500</v>
      </c>
      <c r="H19" s="10">
        <v>21500</v>
      </c>
      <c r="I19" s="10">
        <v>12728.52</v>
      </c>
      <c r="J19" s="10">
        <v>6469.23</v>
      </c>
      <c r="K19" s="45">
        <f t="shared" si="0"/>
        <v>148452.31</v>
      </c>
      <c r="L19" s="29">
        <v>4045.78</v>
      </c>
      <c r="M19" s="30">
        <v>4496.59</v>
      </c>
      <c r="N19" s="30">
        <f t="shared" si="1"/>
        <v>8542.3700000000008</v>
      </c>
      <c r="O19" s="9">
        <v>991.15</v>
      </c>
      <c r="P19" s="10">
        <v>2017.79</v>
      </c>
      <c r="Q19" s="10">
        <v>70.069999999999993</v>
      </c>
      <c r="R19" s="10">
        <v>2017.79</v>
      </c>
      <c r="S19" s="10">
        <v>2017.79</v>
      </c>
      <c r="T19" s="10">
        <v>2017.79</v>
      </c>
      <c r="U19" s="10">
        <v>2017.79</v>
      </c>
      <c r="V19" s="10">
        <v>789.78</v>
      </c>
      <c r="W19" s="10">
        <v>0</v>
      </c>
      <c r="X19" s="43">
        <f t="shared" si="2"/>
        <v>11939.950000000003</v>
      </c>
      <c r="Y19" s="10">
        <f t="shared" si="3"/>
        <v>20482.320000000003</v>
      </c>
      <c r="Z19" s="10">
        <f t="shared" si="4"/>
        <v>127969.98999999999</v>
      </c>
    </row>
    <row r="20" spans="1:26" x14ac:dyDescent="0.25">
      <c r="A20" s="8" t="s">
        <v>46</v>
      </c>
      <c r="B20" s="9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3234.62</v>
      </c>
      <c r="K20" s="45">
        <f t="shared" si="0"/>
        <v>3234.62</v>
      </c>
      <c r="L20" s="29">
        <v>0</v>
      </c>
      <c r="M20" s="30">
        <v>0</v>
      </c>
      <c r="N20" s="30">
        <f t="shared" si="1"/>
        <v>0</v>
      </c>
      <c r="O20" s="9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43">
        <f>SUM(O20:W20)</f>
        <v>0</v>
      </c>
      <c r="Y20" s="10">
        <f>X20+N20</f>
        <v>0</v>
      </c>
      <c r="Z20" s="10">
        <f t="shared" si="4"/>
        <v>3234.62</v>
      </c>
    </row>
    <row r="21" spans="1:26" x14ac:dyDescent="0.25">
      <c r="A21" s="53" t="s">
        <v>23</v>
      </c>
      <c r="B21" s="9">
        <v>14166.84</v>
      </c>
      <c r="C21" s="10">
        <v>21500</v>
      </c>
      <c r="D21" s="10">
        <v>7587.72</v>
      </c>
      <c r="E21" s="10">
        <v>21500</v>
      </c>
      <c r="F21" s="10">
        <v>21500</v>
      </c>
      <c r="G21" s="10">
        <v>21500</v>
      </c>
      <c r="H21" s="10">
        <v>21500</v>
      </c>
      <c r="I21" s="10">
        <v>12728.52</v>
      </c>
      <c r="J21" s="10">
        <v>6469.23</v>
      </c>
      <c r="K21" s="45">
        <f t="shared" si="0"/>
        <v>148452.31</v>
      </c>
      <c r="L21" s="29">
        <v>4045.78</v>
      </c>
      <c r="M21" s="30">
        <v>4496.59</v>
      </c>
      <c r="N21" s="30">
        <f t="shared" si="1"/>
        <v>8542.3700000000008</v>
      </c>
      <c r="O21" s="9">
        <v>991.15</v>
      </c>
      <c r="P21" s="10">
        <v>2017.79</v>
      </c>
      <c r="Q21" s="10">
        <v>70.069999999999993</v>
      </c>
      <c r="R21" s="10">
        <v>2017.79</v>
      </c>
      <c r="S21" s="10">
        <v>2017.79</v>
      </c>
      <c r="T21" s="10">
        <v>2017.79</v>
      </c>
      <c r="U21" s="10">
        <v>2017.79</v>
      </c>
      <c r="V21" s="10">
        <v>789.78</v>
      </c>
      <c r="W21" s="10">
        <v>0</v>
      </c>
      <c r="X21" s="43">
        <f t="shared" si="2"/>
        <v>11939.950000000003</v>
      </c>
      <c r="Y21" s="10">
        <f t="shared" si="3"/>
        <v>20482.320000000003</v>
      </c>
      <c r="Z21" s="10">
        <f t="shared" si="4"/>
        <v>127969.98999999999</v>
      </c>
    </row>
    <row r="22" spans="1:26" ht="15.75" thickBot="1" x14ac:dyDescent="0.3">
      <c r="A22" s="48" t="s">
        <v>47</v>
      </c>
      <c r="B22" s="49">
        <f>14166.84-B15</f>
        <v>7083.42</v>
      </c>
      <c r="C22" s="50">
        <f>21500-C15</f>
        <v>10750</v>
      </c>
      <c r="D22" s="50">
        <f>7587.72-D15</f>
        <v>3793.86</v>
      </c>
      <c r="E22" s="50">
        <f>21500-E15</f>
        <v>10750</v>
      </c>
      <c r="F22" s="50">
        <f>21500-F15</f>
        <v>10750</v>
      </c>
      <c r="G22" s="50">
        <f>21500-G15</f>
        <v>10750</v>
      </c>
      <c r="H22" s="50">
        <f>21500-H15</f>
        <v>10750</v>
      </c>
      <c r="I22" s="50">
        <f>12728.52-I15</f>
        <v>6364.26</v>
      </c>
      <c r="J22" s="50">
        <f>6469.23-J20</f>
        <v>3234.6099999999997</v>
      </c>
      <c r="K22" s="45">
        <f t="shared" si="0"/>
        <v>74226.149999999994</v>
      </c>
      <c r="L22" s="51">
        <v>4045.78</v>
      </c>
      <c r="M22" s="51">
        <v>4496.59</v>
      </c>
      <c r="N22" s="51">
        <f t="shared" si="1"/>
        <v>8542.3700000000008</v>
      </c>
      <c r="O22" s="49">
        <v>991.15</v>
      </c>
      <c r="P22" s="50">
        <v>2017.79</v>
      </c>
      <c r="Q22" s="50">
        <v>70.069999999999993</v>
      </c>
      <c r="R22" s="50">
        <v>2017.79</v>
      </c>
      <c r="S22" s="50">
        <v>2017.79</v>
      </c>
      <c r="T22" s="50">
        <v>2017.79</v>
      </c>
      <c r="U22" s="50">
        <v>2017.79</v>
      </c>
      <c r="V22" s="50">
        <v>789.78</v>
      </c>
      <c r="W22" s="50">
        <v>0</v>
      </c>
      <c r="X22" s="52">
        <f t="shared" si="2"/>
        <v>11939.950000000003</v>
      </c>
      <c r="Y22" s="50">
        <f t="shared" si="3"/>
        <v>20482.320000000003</v>
      </c>
      <c r="Z22" s="50">
        <f t="shared" si="4"/>
        <v>53743.829999999987</v>
      </c>
    </row>
    <row r="23" spans="1:26" ht="15.75" thickBot="1" x14ac:dyDescent="0.3">
      <c r="A23" s="12" t="s">
        <v>24</v>
      </c>
      <c r="B23" s="13">
        <f>SUM(B8:B22)</f>
        <v>181468.3</v>
      </c>
      <c r="C23" s="13">
        <f t="shared" ref="C23:I23" si="6">SUM(C8:C22)</f>
        <v>276500</v>
      </c>
      <c r="D23" s="13">
        <f t="shared" si="6"/>
        <v>97193.38</v>
      </c>
      <c r="E23" s="13">
        <f t="shared" si="6"/>
        <v>276500</v>
      </c>
      <c r="F23" s="13">
        <f t="shared" si="6"/>
        <v>276500</v>
      </c>
      <c r="G23" s="13">
        <f>SUM(G8:G22)</f>
        <v>276500</v>
      </c>
      <c r="H23" s="13">
        <f t="shared" si="6"/>
        <v>276500</v>
      </c>
      <c r="I23" s="13">
        <f t="shared" si="6"/>
        <v>163043.42000000001</v>
      </c>
      <c r="J23" s="13">
        <f t="shared" ref="J23:Z23" si="7">SUM(J8:J22)</f>
        <v>82866.309999999969</v>
      </c>
      <c r="K23" s="44">
        <f t="shared" si="7"/>
        <v>1907071.4100000004</v>
      </c>
      <c r="L23" s="31">
        <f t="shared" si="7"/>
        <v>51909.399999999994</v>
      </c>
      <c r="M23" s="31">
        <f t="shared" si="7"/>
        <v>57693.549999999988</v>
      </c>
      <c r="N23" s="31">
        <f t="shared" si="7"/>
        <v>109602.94999999998</v>
      </c>
      <c r="O23" s="13">
        <f t="shared" si="7"/>
        <v>12453.159999999998</v>
      </c>
      <c r="P23" s="13">
        <f t="shared" si="7"/>
        <v>25601.270000000008</v>
      </c>
      <c r="Q23" s="13">
        <f t="shared" si="7"/>
        <v>741.55999999999972</v>
      </c>
      <c r="R23" s="13">
        <f t="shared" si="7"/>
        <v>25601.270000000008</v>
      </c>
      <c r="S23" s="13">
        <f t="shared" si="7"/>
        <v>25601.270000000008</v>
      </c>
      <c r="T23" s="13">
        <f t="shared" si="7"/>
        <v>25601.270000000008</v>
      </c>
      <c r="U23" s="13">
        <f t="shared" si="7"/>
        <v>25601.270000000008</v>
      </c>
      <c r="V23" s="13">
        <f t="shared" si="7"/>
        <v>9878.31</v>
      </c>
      <c r="W23" s="13">
        <f t="shared" si="7"/>
        <v>0</v>
      </c>
      <c r="X23" s="44">
        <f t="shared" si="7"/>
        <v>151079.38</v>
      </c>
      <c r="Y23" s="13">
        <f t="shared" si="7"/>
        <v>260682.33000000007</v>
      </c>
      <c r="Z23" s="13">
        <f t="shared" si="7"/>
        <v>1646389.08</v>
      </c>
    </row>
    <row r="25" spans="1:26" x14ac:dyDescent="0.25">
      <c r="L25" s="15"/>
      <c r="V25" s="14"/>
      <c r="Z25" s="15"/>
    </row>
    <row r="26" spans="1:26" x14ac:dyDescent="0.25">
      <c r="Z26" s="23"/>
    </row>
    <row r="29" spans="1:26" x14ac:dyDescent="0.25">
      <c r="Z29" s="14"/>
    </row>
  </sheetData>
  <mergeCells count="5">
    <mergeCell ref="A2:Y2"/>
    <mergeCell ref="A3:Y3"/>
    <mergeCell ref="A4:Y4"/>
    <mergeCell ref="A6:K6"/>
    <mergeCell ref="L6:Y6"/>
  </mergeCells>
  <pageMargins left="0.511811024" right="0.511811024" top="0.78740157499999996" bottom="0.78740157499999996" header="0.31496062000000002" footer="0.31496062000000002"/>
  <pageSetup paperSize="9" scale="6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tabSelected="1" workbookViewId="0">
      <pane xSplit="1" topLeftCell="B1" activePane="topRight" state="frozen"/>
      <selection pane="topRight" activeCell="L3" sqref="L3"/>
    </sheetView>
  </sheetViews>
  <sheetFormatPr defaultRowHeight="15" x14ac:dyDescent="0.25"/>
  <cols>
    <col min="1" max="1" width="12.5703125" bestFit="1" customWidth="1"/>
    <col min="2" max="2" width="14.7109375" customWidth="1"/>
    <col min="3" max="3" width="11.28515625" customWidth="1"/>
    <col min="4" max="4" width="12.5703125" style="27" bestFit="1" customWidth="1"/>
    <col min="5" max="5" width="14" bestFit="1" customWidth="1"/>
    <col min="7" max="7" width="9.5703125" bestFit="1" customWidth="1"/>
    <col min="8" max="8" width="12.7109375" bestFit="1" customWidth="1"/>
    <col min="9" max="9" width="11" bestFit="1" customWidth="1"/>
    <col min="10" max="10" width="14.28515625" bestFit="1" customWidth="1"/>
    <col min="11" max="14" width="11" style="15" customWidth="1"/>
    <col min="15" max="17" width="11" style="15" bestFit="1" customWidth="1"/>
    <col min="18" max="18" width="13.140625" style="15" customWidth="1"/>
    <col min="19" max="25" width="9.140625" style="15"/>
  </cols>
  <sheetData>
    <row r="1" spans="1:25" ht="24.75" thickBot="1" x14ac:dyDescent="0.3">
      <c r="A1" s="32" t="s">
        <v>4</v>
      </c>
      <c r="B1" s="33" t="s">
        <v>25</v>
      </c>
      <c r="C1" s="34" t="s">
        <v>49</v>
      </c>
      <c r="D1" s="34" t="s">
        <v>40</v>
      </c>
      <c r="E1" s="35" t="s">
        <v>26</v>
      </c>
      <c r="F1" s="36" t="s">
        <v>27</v>
      </c>
      <c r="G1" s="35" t="s">
        <v>28</v>
      </c>
      <c r="H1" s="35" t="s">
        <v>24</v>
      </c>
      <c r="I1" s="69" t="s">
        <v>29</v>
      </c>
      <c r="J1" s="80" t="s">
        <v>48</v>
      </c>
      <c r="K1" s="19"/>
      <c r="L1" s="19"/>
      <c r="M1" s="19"/>
      <c r="N1" s="19"/>
      <c r="O1" s="19" t="s">
        <v>41</v>
      </c>
      <c r="P1" s="15" t="s">
        <v>42</v>
      </c>
      <c r="Q1" s="15" t="s">
        <v>43</v>
      </c>
      <c r="R1" s="15">
        <v>0.5</v>
      </c>
    </row>
    <row r="2" spans="1:25" x14ac:dyDescent="0.25">
      <c r="A2" s="54" t="s">
        <v>12</v>
      </c>
      <c r="B2" s="55">
        <v>118742.58</v>
      </c>
      <c r="C2" s="56">
        <v>1.0889880000000001</v>
      </c>
      <c r="D2" s="56"/>
      <c r="E2" s="37">
        <f t="shared" ref="E2:E7" si="0">B2*C2</f>
        <v>129309.24470904001</v>
      </c>
      <c r="F2" s="38">
        <f>0.5*Q2%</f>
        <v>0.1</v>
      </c>
      <c r="G2" s="37">
        <f>E2*F2</f>
        <v>12930.924470904001</v>
      </c>
      <c r="H2" s="37">
        <f>E2+G2</f>
        <v>142240.169179944</v>
      </c>
      <c r="I2" s="70">
        <v>0</v>
      </c>
      <c r="J2" s="72">
        <f>H2-I2</f>
        <v>142240.169179944</v>
      </c>
      <c r="K2" s="19"/>
      <c r="L2" s="19"/>
      <c r="M2" s="19"/>
      <c r="N2" s="19"/>
      <c r="O2" s="46">
        <v>44593</v>
      </c>
      <c r="P2" s="47">
        <v>45230</v>
      </c>
      <c r="Q2" s="15">
        <f>DATEDIF(O2,P2,"m")</f>
        <v>20</v>
      </c>
      <c r="R2" s="15">
        <f>Q2*R$1</f>
        <v>10</v>
      </c>
    </row>
    <row r="3" spans="1:25" x14ac:dyDescent="0.25">
      <c r="A3" s="57" t="s">
        <v>13</v>
      </c>
      <c r="B3" s="55">
        <v>118742.58</v>
      </c>
      <c r="C3" s="56">
        <v>1.0781000000000001</v>
      </c>
      <c r="D3" s="56"/>
      <c r="E3" s="37">
        <f t="shared" si="0"/>
        <v>128016.37549800001</v>
      </c>
      <c r="F3" s="38">
        <f t="shared" ref="F3:F16" si="1">0.5*Q3%</f>
        <v>9.5000000000000001E-2</v>
      </c>
      <c r="G3" s="37">
        <f t="shared" ref="G3:G16" si="2">E3*F3</f>
        <v>12161.555672310002</v>
      </c>
      <c r="H3" s="37">
        <f t="shared" ref="H3:H16" si="3">E3+G3</f>
        <v>140177.93117031001</v>
      </c>
      <c r="I3" s="70">
        <v>0</v>
      </c>
      <c r="J3" s="72">
        <f t="shared" ref="J3:J16" si="4">H3-I3</f>
        <v>140177.93117031001</v>
      </c>
      <c r="K3" s="19"/>
      <c r="L3" s="19"/>
      <c r="M3" s="19"/>
      <c r="N3" s="19"/>
      <c r="O3" s="46">
        <v>44621</v>
      </c>
      <c r="P3" s="47">
        <v>45230</v>
      </c>
      <c r="Q3" s="15">
        <f t="shared" ref="Q3:Q16" si="5">DATEDIF(O3,P3,"m")</f>
        <v>19</v>
      </c>
      <c r="R3" s="15">
        <f t="shared" ref="R3:R16" si="6">Q3*R$1</f>
        <v>9.5</v>
      </c>
    </row>
    <row r="4" spans="1:25" x14ac:dyDescent="0.25">
      <c r="A4" s="57" t="s">
        <v>14</v>
      </c>
      <c r="B4" s="55">
        <v>120577.77</v>
      </c>
      <c r="C4" s="56">
        <v>1.060913</v>
      </c>
      <c r="D4" s="56"/>
      <c r="E4" s="37">
        <f t="shared" si="0"/>
        <v>127922.52370401</v>
      </c>
      <c r="F4" s="38">
        <f t="shared" si="1"/>
        <v>0.09</v>
      </c>
      <c r="G4" s="37">
        <f t="shared" si="2"/>
        <v>11513.0271333609</v>
      </c>
      <c r="H4" s="37">
        <f t="shared" si="3"/>
        <v>139435.55083737092</v>
      </c>
      <c r="I4" s="70">
        <v>0</v>
      </c>
      <c r="J4" s="72">
        <f t="shared" si="4"/>
        <v>139435.55083737092</v>
      </c>
      <c r="K4" s="19"/>
      <c r="L4" s="19"/>
      <c r="M4" s="19"/>
      <c r="N4" s="19"/>
      <c r="O4" s="46">
        <v>44652</v>
      </c>
      <c r="P4" s="47">
        <v>45230</v>
      </c>
      <c r="Q4" s="15">
        <f t="shared" si="5"/>
        <v>18</v>
      </c>
      <c r="R4" s="15">
        <f t="shared" si="6"/>
        <v>9</v>
      </c>
    </row>
    <row r="5" spans="1:25" x14ac:dyDescent="0.25">
      <c r="A5" s="57" t="s">
        <v>15</v>
      </c>
      <c r="B5" s="55">
        <v>136596.24</v>
      </c>
      <c r="C5" s="56">
        <v>1.049785</v>
      </c>
      <c r="D5" s="56"/>
      <c r="E5" s="37">
        <f t="shared" si="0"/>
        <v>143396.68380839998</v>
      </c>
      <c r="F5" s="38">
        <f t="shared" si="1"/>
        <v>8.5000000000000006E-2</v>
      </c>
      <c r="G5" s="37">
        <f t="shared" si="2"/>
        <v>12188.718123713999</v>
      </c>
      <c r="H5" s="37">
        <f t="shared" si="3"/>
        <v>155585.40193211398</v>
      </c>
      <c r="I5" s="70">
        <v>0</v>
      </c>
      <c r="J5" s="72">
        <f t="shared" si="4"/>
        <v>155585.40193211398</v>
      </c>
      <c r="K5" s="19"/>
      <c r="L5" s="19"/>
      <c r="M5" s="19"/>
      <c r="N5" s="19"/>
      <c r="O5" s="46">
        <v>44682</v>
      </c>
      <c r="P5" s="47">
        <v>45230</v>
      </c>
      <c r="Q5" s="15">
        <f t="shared" si="5"/>
        <v>17</v>
      </c>
      <c r="R5" s="15">
        <f t="shared" si="6"/>
        <v>8.5</v>
      </c>
    </row>
    <row r="6" spans="1:25" x14ac:dyDescent="0.25">
      <c r="A6" s="57" t="s">
        <v>16</v>
      </c>
      <c r="B6" s="55">
        <v>127969.99</v>
      </c>
      <c r="C6" s="56">
        <v>1.0448740000000001</v>
      </c>
      <c r="D6" s="56"/>
      <c r="E6" s="37">
        <f t="shared" si="0"/>
        <v>133712.51533126002</v>
      </c>
      <c r="F6" s="38">
        <f t="shared" si="1"/>
        <v>0.08</v>
      </c>
      <c r="G6" s="37">
        <f t="shared" si="2"/>
        <v>10697.001226500801</v>
      </c>
      <c r="H6" s="37">
        <f t="shared" si="3"/>
        <v>144409.51655776083</v>
      </c>
      <c r="I6" s="70">
        <v>0</v>
      </c>
      <c r="J6" s="72">
        <f t="shared" si="4"/>
        <v>144409.51655776083</v>
      </c>
      <c r="K6" s="19"/>
      <c r="L6" s="19"/>
      <c r="M6" s="19"/>
      <c r="N6" s="19"/>
      <c r="O6" s="46">
        <v>44713</v>
      </c>
      <c r="P6" s="47">
        <v>45230</v>
      </c>
      <c r="Q6" s="15">
        <f t="shared" si="5"/>
        <v>16</v>
      </c>
      <c r="R6" s="15">
        <f t="shared" si="6"/>
        <v>8</v>
      </c>
    </row>
    <row r="7" spans="1:25" x14ac:dyDescent="0.25">
      <c r="A7" s="57" t="s">
        <v>17</v>
      </c>
      <c r="B7" s="55">
        <v>127969.98999999999</v>
      </c>
      <c r="C7" s="56">
        <v>1.03792</v>
      </c>
      <c r="D7" s="56"/>
      <c r="E7" s="37">
        <f t="shared" si="0"/>
        <v>132822.61202079998</v>
      </c>
      <c r="F7" s="38">
        <f t="shared" si="1"/>
        <v>7.4999999999999997E-2</v>
      </c>
      <c r="G7" s="37">
        <f t="shared" si="2"/>
        <v>9961.6959015599987</v>
      </c>
      <c r="H7" s="37">
        <f t="shared" si="3"/>
        <v>142784.30792235996</v>
      </c>
      <c r="I7" s="70">
        <v>0</v>
      </c>
      <c r="J7" s="72">
        <f t="shared" si="4"/>
        <v>142784.30792235996</v>
      </c>
      <c r="K7" s="19"/>
      <c r="L7" s="19"/>
      <c r="M7" s="19"/>
      <c r="N7" s="19"/>
      <c r="O7" s="46">
        <v>44743</v>
      </c>
      <c r="P7" s="47">
        <v>45230</v>
      </c>
      <c r="Q7" s="15">
        <f t="shared" si="5"/>
        <v>15</v>
      </c>
      <c r="R7" s="15">
        <f t="shared" si="6"/>
        <v>7.5</v>
      </c>
    </row>
    <row r="8" spans="1:25" x14ac:dyDescent="0.25">
      <c r="A8" s="57" t="s">
        <v>18</v>
      </c>
      <c r="B8" s="55">
        <v>127969.98999999999</v>
      </c>
      <c r="C8" s="56">
        <v>1.045026</v>
      </c>
      <c r="D8" s="56"/>
      <c r="E8" s="37">
        <f>B8*C8</f>
        <v>133731.96676973999</v>
      </c>
      <c r="F8" s="38">
        <f t="shared" si="1"/>
        <v>7.0000000000000007E-2</v>
      </c>
      <c r="G8" s="37">
        <f t="shared" si="2"/>
        <v>9361.2376738818002</v>
      </c>
      <c r="H8" s="37">
        <f t="shared" si="3"/>
        <v>143093.2044436218</v>
      </c>
      <c r="I8" s="70">
        <v>0</v>
      </c>
      <c r="J8" s="72">
        <f t="shared" si="4"/>
        <v>143093.2044436218</v>
      </c>
      <c r="K8" s="19"/>
      <c r="L8" s="19"/>
      <c r="M8" s="19"/>
      <c r="N8" s="19"/>
      <c r="O8" s="46">
        <v>44774</v>
      </c>
      <c r="P8" s="47">
        <v>45230</v>
      </c>
      <c r="Q8" s="15">
        <f t="shared" si="5"/>
        <v>14</v>
      </c>
      <c r="R8" s="15">
        <f t="shared" si="6"/>
        <v>7</v>
      </c>
    </row>
    <row r="9" spans="1:25" x14ac:dyDescent="0.25">
      <c r="A9" s="57" t="s">
        <v>45</v>
      </c>
      <c r="B9" s="55">
        <v>70991.539999999994</v>
      </c>
      <c r="C9" s="56">
        <v>1.045026</v>
      </c>
      <c r="D9" s="56"/>
      <c r="E9" s="37">
        <f t="shared" ref="E9:E16" si="7">B9*C9</f>
        <v>74188.005080039991</v>
      </c>
      <c r="F9" s="38">
        <f t="shared" si="1"/>
        <v>7.0000000000000007E-2</v>
      </c>
      <c r="G9" s="37">
        <f t="shared" si="2"/>
        <v>5193.1603556028003</v>
      </c>
      <c r="H9" s="37">
        <f t="shared" si="3"/>
        <v>79381.16543564279</v>
      </c>
      <c r="I9" s="70">
        <v>0</v>
      </c>
      <c r="J9" s="72">
        <f t="shared" si="4"/>
        <v>79381.16543564279</v>
      </c>
      <c r="K9" s="19"/>
      <c r="L9" s="19"/>
      <c r="M9" s="19"/>
      <c r="N9" s="19"/>
      <c r="O9" s="46">
        <v>44774</v>
      </c>
      <c r="P9" s="47">
        <v>45230</v>
      </c>
      <c r="Q9" s="15">
        <f t="shared" si="5"/>
        <v>14</v>
      </c>
      <c r="R9" s="15">
        <f t="shared" si="6"/>
        <v>7</v>
      </c>
    </row>
    <row r="10" spans="1:25" x14ac:dyDescent="0.25">
      <c r="A10" s="57" t="s">
        <v>19</v>
      </c>
      <c r="B10" s="55">
        <v>127969.98999999999</v>
      </c>
      <c r="C10" s="56">
        <v>1.048802</v>
      </c>
      <c r="D10" s="56"/>
      <c r="E10" s="37">
        <f t="shared" si="7"/>
        <v>134215.18145198</v>
      </c>
      <c r="F10" s="38">
        <f t="shared" si="1"/>
        <v>6.5000000000000002E-2</v>
      </c>
      <c r="G10" s="37">
        <f t="shared" si="2"/>
        <v>8723.9867943786994</v>
      </c>
      <c r="H10" s="37">
        <f t="shared" si="3"/>
        <v>142939.16824635869</v>
      </c>
      <c r="I10" s="70">
        <v>0</v>
      </c>
      <c r="J10" s="72">
        <f t="shared" si="4"/>
        <v>142939.16824635869</v>
      </c>
      <c r="O10" s="46">
        <v>44805</v>
      </c>
      <c r="P10" s="47">
        <v>45230</v>
      </c>
      <c r="Q10" s="15">
        <f t="shared" si="5"/>
        <v>13</v>
      </c>
      <c r="R10" s="15">
        <f t="shared" si="6"/>
        <v>6.5</v>
      </c>
    </row>
    <row r="11" spans="1:25" x14ac:dyDescent="0.25">
      <c r="A11" s="57" t="s">
        <v>20</v>
      </c>
      <c r="B11" s="55">
        <v>127969.98999999999</v>
      </c>
      <c r="C11" s="56">
        <v>1.051852</v>
      </c>
      <c r="D11" s="56"/>
      <c r="E11" s="37">
        <f t="shared" si="7"/>
        <v>134605.48992147998</v>
      </c>
      <c r="F11" s="38">
        <f t="shared" si="1"/>
        <v>0.06</v>
      </c>
      <c r="G11" s="37">
        <f t="shared" si="2"/>
        <v>8076.3293952887989</v>
      </c>
      <c r="H11" s="37">
        <f t="shared" si="3"/>
        <v>142681.81931676879</v>
      </c>
      <c r="I11" s="70">
        <v>0</v>
      </c>
      <c r="J11" s="72">
        <f t="shared" si="4"/>
        <v>142681.81931676879</v>
      </c>
      <c r="O11" s="46">
        <v>44835</v>
      </c>
      <c r="P11" s="47">
        <v>45230</v>
      </c>
      <c r="Q11" s="15">
        <f t="shared" si="5"/>
        <v>12</v>
      </c>
      <c r="R11" s="15">
        <f t="shared" si="6"/>
        <v>6</v>
      </c>
      <c r="V11"/>
      <c r="W11"/>
      <c r="X11"/>
      <c r="Y11"/>
    </row>
    <row r="12" spans="1:25" x14ac:dyDescent="0.25">
      <c r="A12" s="58" t="s">
        <v>21</v>
      </c>
      <c r="B12" s="55">
        <v>127969.98999999999</v>
      </c>
      <c r="C12" s="56">
        <v>1.0456829999999999</v>
      </c>
      <c r="D12" s="56"/>
      <c r="E12" s="37">
        <f t="shared" si="7"/>
        <v>133816.04305316997</v>
      </c>
      <c r="F12" s="38">
        <f t="shared" si="1"/>
        <v>5.5E-2</v>
      </c>
      <c r="G12" s="37">
        <f t="shared" si="2"/>
        <v>7359.8823679243478</v>
      </c>
      <c r="H12" s="37">
        <f t="shared" si="3"/>
        <v>141175.92542109432</v>
      </c>
      <c r="I12" s="70">
        <v>0</v>
      </c>
      <c r="J12" s="72">
        <f t="shared" si="4"/>
        <v>141175.92542109432</v>
      </c>
      <c r="O12" s="46">
        <v>44866</v>
      </c>
      <c r="P12" s="47">
        <v>45230</v>
      </c>
      <c r="Q12" s="15">
        <f t="shared" si="5"/>
        <v>11</v>
      </c>
      <c r="R12" s="15">
        <f t="shared" si="6"/>
        <v>5.5</v>
      </c>
      <c r="V12"/>
      <c r="W12"/>
      <c r="X12"/>
      <c r="Y12"/>
    </row>
    <row r="13" spans="1:25" x14ac:dyDescent="0.25">
      <c r="A13" s="57" t="s">
        <v>22</v>
      </c>
      <c r="B13" s="55">
        <v>127969.98999999999</v>
      </c>
      <c r="C13" s="56">
        <v>1.0414129999999999</v>
      </c>
      <c r="D13" s="56"/>
      <c r="E13" s="37">
        <f t="shared" si="7"/>
        <v>133269.61119586998</v>
      </c>
      <c r="F13" s="38">
        <f t="shared" si="1"/>
        <v>0.05</v>
      </c>
      <c r="G13" s="37">
        <f t="shared" si="2"/>
        <v>6663.4805597934992</v>
      </c>
      <c r="H13" s="37">
        <f t="shared" si="3"/>
        <v>139933.09175566348</v>
      </c>
      <c r="I13" s="78">
        <v>0</v>
      </c>
      <c r="J13" s="72">
        <f t="shared" si="4"/>
        <v>139933.09175566348</v>
      </c>
      <c r="O13" s="46">
        <v>44896</v>
      </c>
      <c r="P13" s="47">
        <v>45230</v>
      </c>
      <c r="Q13" s="15">
        <f t="shared" si="5"/>
        <v>10</v>
      </c>
      <c r="R13" s="15">
        <f t="shared" si="6"/>
        <v>5</v>
      </c>
      <c r="V13"/>
      <c r="W13"/>
      <c r="X13"/>
      <c r="Y13"/>
    </row>
    <row r="14" spans="1:25" x14ac:dyDescent="0.25">
      <c r="A14" s="57" t="s">
        <v>46</v>
      </c>
      <c r="B14" s="55">
        <v>3234.62</v>
      </c>
      <c r="C14" s="56">
        <v>1.0414129999999999</v>
      </c>
      <c r="D14" s="56"/>
      <c r="E14" s="37">
        <f t="shared" si="7"/>
        <v>3368.5753180599995</v>
      </c>
      <c r="F14" s="38">
        <f t="shared" si="1"/>
        <v>0.05</v>
      </c>
      <c r="G14" s="37">
        <f t="shared" si="2"/>
        <v>168.428765903</v>
      </c>
      <c r="H14" s="37">
        <f t="shared" si="3"/>
        <v>3537.0040839629996</v>
      </c>
      <c r="I14" s="78"/>
      <c r="J14" s="72">
        <f t="shared" si="4"/>
        <v>3537.0040839629996</v>
      </c>
      <c r="O14" s="46">
        <v>44896</v>
      </c>
      <c r="P14" s="47">
        <v>45230</v>
      </c>
      <c r="Q14" s="15">
        <f t="shared" si="5"/>
        <v>10</v>
      </c>
      <c r="R14" s="15">
        <f t="shared" si="6"/>
        <v>5</v>
      </c>
      <c r="V14"/>
      <c r="W14"/>
      <c r="X14"/>
      <c r="Y14"/>
    </row>
    <row r="15" spans="1:25" x14ac:dyDescent="0.25">
      <c r="A15" s="59" t="s">
        <v>23</v>
      </c>
      <c r="B15" s="55">
        <v>127969.98999999999</v>
      </c>
      <c r="C15" s="56">
        <v>1.034996</v>
      </c>
      <c r="D15" s="56"/>
      <c r="E15" s="37">
        <f t="shared" si="7"/>
        <v>132448.42777004</v>
      </c>
      <c r="F15" s="38">
        <f t="shared" si="1"/>
        <v>4.4999999999999998E-2</v>
      </c>
      <c r="G15" s="37">
        <f t="shared" si="2"/>
        <v>5960.1792496518001</v>
      </c>
      <c r="H15" s="37">
        <f t="shared" si="3"/>
        <v>138408.60701969179</v>
      </c>
      <c r="I15" s="70">
        <v>0</v>
      </c>
      <c r="J15" s="72">
        <f t="shared" si="4"/>
        <v>138408.60701969179</v>
      </c>
      <c r="O15" s="46">
        <v>44927</v>
      </c>
      <c r="P15" s="47">
        <v>45230</v>
      </c>
      <c r="Q15" s="15">
        <f t="shared" si="5"/>
        <v>9</v>
      </c>
      <c r="R15" s="15">
        <f t="shared" si="6"/>
        <v>4.5</v>
      </c>
      <c r="V15"/>
      <c r="W15"/>
      <c r="X15"/>
      <c r="Y15"/>
    </row>
    <row r="16" spans="1:25" ht="15.75" thickBot="1" x14ac:dyDescent="0.3">
      <c r="A16" s="60" t="s">
        <v>47</v>
      </c>
      <c r="B16" s="61">
        <v>53743.829999999987</v>
      </c>
      <c r="C16" s="56">
        <v>1.034996</v>
      </c>
      <c r="D16" s="56"/>
      <c r="E16" s="37">
        <f t="shared" si="7"/>
        <v>55624.64907467999</v>
      </c>
      <c r="F16" s="38">
        <f t="shared" si="1"/>
        <v>4.4999999999999998E-2</v>
      </c>
      <c r="G16" s="37">
        <f t="shared" si="2"/>
        <v>2503.1092083605995</v>
      </c>
      <c r="H16" s="37">
        <f t="shared" si="3"/>
        <v>58127.758283040588</v>
      </c>
      <c r="I16" s="70">
        <v>0</v>
      </c>
      <c r="J16" s="72">
        <f t="shared" si="4"/>
        <v>58127.758283040588</v>
      </c>
      <c r="O16" s="46">
        <v>44927</v>
      </c>
      <c r="P16" s="47">
        <v>45230</v>
      </c>
      <c r="Q16" s="15">
        <f t="shared" si="5"/>
        <v>9</v>
      </c>
      <c r="R16" s="15">
        <f t="shared" si="6"/>
        <v>4.5</v>
      </c>
      <c r="V16"/>
      <c r="W16"/>
      <c r="X16"/>
      <c r="Y16"/>
    </row>
    <row r="17" spans="1:25" ht="15.75" thickBot="1" x14ac:dyDescent="0.3">
      <c r="A17" s="62" t="s">
        <v>24</v>
      </c>
      <c r="B17" s="63">
        <f>SUM(B2:B16)</f>
        <v>1646389.08</v>
      </c>
      <c r="C17" s="64"/>
      <c r="D17" s="39"/>
      <c r="E17" s="40">
        <f>SUM(E2:E16)</f>
        <v>1730447.9047065696</v>
      </c>
      <c r="F17" s="41">
        <f>SUM(F2:F16)</f>
        <v>1.0350000000000001</v>
      </c>
      <c r="G17" s="40">
        <f>SUM(G2:G16)</f>
        <v>123462.71689913505</v>
      </c>
      <c r="H17" s="40">
        <f>SUM(H2:H16)</f>
        <v>1853910.6216057048</v>
      </c>
      <c r="I17" s="79">
        <v>0</v>
      </c>
      <c r="J17" s="71">
        <f>SUM(J2:J16)</f>
        <v>1853910.6216057048</v>
      </c>
      <c r="O17" s="46"/>
      <c r="P17" s="47"/>
      <c r="V17"/>
      <c r="W17"/>
      <c r="X17"/>
      <c r="Y17"/>
    </row>
    <row r="19" spans="1:25" x14ac:dyDescent="0.25">
      <c r="B19" s="17"/>
      <c r="C19" s="17"/>
      <c r="D19" s="24"/>
      <c r="E19" s="77"/>
      <c r="F19" s="17"/>
      <c r="G19" s="17"/>
      <c r="H19" s="18"/>
      <c r="I19" s="22"/>
      <c r="J19" s="67"/>
      <c r="K19" s="19"/>
      <c r="L19" s="19"/>
      <c r="M19" s="19"/>
      <c r="N19" s="19"/>
      <c r="O19" s="19"/>
    </row>
    <row r="20" spans="1:25" x14ac:dyDescent="0.25">
      <c r="A20" s="16"/>
      <c r="B20" s="16"/>
      <c r="C20" s="16"/>
      <c r="D20" s="25"/>
      <c r="E20" s="67"/>
      <c r="F20" s="16"/>
      <c r="G20" s="16"/>
      <c r="H20" s="19"/>
      <c r="I20" s="16"/>
      <c r="J20" s="16"/>
      <c r="K20" s="19"/>
      <c r="L20" s="19"/>
      <c r="M20" s="19"/>
      <c r="N20" s="19"/>
      <c r="O20" s="19"/>
    </row>
    <row r="21" spans="1:25" x14ac:dyDescent="0.25">
      <c r="A21" s="16"/>
      <c r="B21" s="68"/>
      <c r="C21" s="68"/>
      <c r="D21" s="26"/>
      <c r="E21" s="20"/>
      <c r="F21" s="20"/>
      <c r="G21" s="20"/>
      <c r="H21" s="21"/>
      <c r="I21" s="16"/>
      <c r="J21" s="16"/>
      <c r="K21" s="19"/>
      <c r="L21" s="19"/>
      <c r="M21" s="19"/>
      <c r="N21" s="19"/>
      <c r="O21" s="19"/>
      <c r="P21" s="19"/>
    </row>
    <row r="22" spans="1:25" x14ac:dyDescent="0.25">
      <c r="B22" s="68"/>
      <c r="C22" s="68"/>
      <c r="J22" s="23"/>
      <c r="K22" s="19"/>
      <c r="L22" s="19"/>
      <c r="M22" s="19"/>
      <c r="N22" s="19"/>
      <c r="O22" s="19"/>
      <c r="P22" s="19"/>
    </row>
    <row r="23" spans="1:25" x14ac:dyDescent="0.25">
      <c r="B23" s="68"/>
      <c r="C23" s="68"/>
      <c r="K23" s="19"/>
      <c r="L23" s="19"/>
      <c r="M23" s="19"/>
      <c r="N23" s="19"/>
      <c r="O23" s="19"/>
      <c r="P23" s="19"/>
    </row>
    <row r="24" spans="1:25" x14ac:dyDescent="0.25">
      <c r="B24" s="68"/>
      <c r="C24" s="68"/>
      <c r="J24" s="15"/>
      <c r="K24" s="19"/>
      <c r="L24" s="19"/>
      <c r="M24" s="19"/>
      <c r="N24" s="19"/>
      <c r="O24" s="19"/>
      <c r="P24" s="19"/>
    </row>
    <row r="25" spans="1:25" x14ac:dyDescent="0.25">
      <c r="B25" s="68"/>
      <c r="C25" s="68"/>
      <c r="J25" s="15"/>
      <c r="K25" s="19"/>
      <c r="L25" s="19"/>
      <c r="M25" s="19"/>
      <c r="N25" s="19"/>
      <c r="O25" s="19"/>
      <c r="P25" s="19"/>
    </row>
    <row r="26" spans="1:25" x14ac:dyDescent="0.25">
      <c r="B26" s="68"/>
      <c r="C26" s="68"/>
      <c r="J26" s="15"/>
      <c r="K26" s="19"/>
      <c r="L26" s="19"/>
      <c r="M26" s="19"/>
      <c r="N26" s="19"/>
      <c r="O26" s="19"/>
      <c r="P26" s="19"/>
    </row>
    <row r="27" spans="1:25" x14ac:dyDescent="0.25">
      <c r="B27" s="68"/>
      <c r="C27" s="68"/>
      <c r="J27" s="15"/>
      <c r="K27" s="21"/>
      <c r="L27" s="21"/>
      <c r="M27" s="21"/>
      <c r="N27" s="21"/>
      <c r="O27" s="21"/>
      <c r="P27" s="19"/>
    </row>
    <row r="28" spans="1:25" x14ac:dyDescent="0.25">
      <c r="B28" s="68"/>
      <c r="C28" s="68"/>
    </row>
    <row r="29" spans="1:25" x14ac:dyDescent="0.25">
      <c r="B29" s="68"/>
      <c r="C29" s="68"/>
    </row>
    <row r="30" spans="1:25" x14ac:dyDescent="0.25">
      <c r="B30" s="68"/>
      <c r="C30" s="68"/>
    </row>
    <row r="31" spans="1:25" x14ac:dyDescent="0.25">
      <c r="B31" s="68"/>
      <c r="C31" s="68"/>
    </row>
    <row r="32" spans="1:25" x14ac:dyDescent="0.25">
      <c r="B32" s="68"/>
      <c r="C32" s="68"/>
    </row>
    <row r="33" spans="2:3" x14ac:dyDescent="0.25">
      <c r="B33" s="68"/>
      <c r="C33" s="68"/>
    </row>
    <row r="34" spans="2:3" x14ac:dyDescent="0.25">
      <c r="B34" s="68"/>
      <c r="C34" s="68"/>
    </row>
    <row r="35" spans="2:3" x14ac:dyDescent="0.25">
      <c r="B35" s="68"/>
      <c r="C35" s="68"/>
    </row>
    <row r="36" spans="2:3" x14ac:dyDescent="0.25">
      <c r="B36" s="1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PROVISÃO</vt:lpstr>
      <vt:lpstr>ATUALIZAÇÃO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Cozatti</dc:creator>
  <cp:lastModifiedBy>Renata Cozatti</cp:lastModifiedBy>
  <cp:lastPrinted>2020-03-16T17:03:26Z</cp:lastPrinted>
  <dcterms:created xsi:type="dcterms:W3CDTF">2020-02-10T15:45:58Z</dcterms:created>
  <dcterms:modified xsi:type="dcterms:W3CDTF">2023-10-23T13:24:06Z</dcterms:modified>
</cp:coreProperties>
</file>